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<sst xmlns="http://schemas.openxmlformats.org/spreadsheetml/2006/main" count="91" uniqueCount="64">
  <si>
    <t xml:space="preserve">IOB 127- </t>
  </si>
  <si>
    <t xml:space="preserve">Pratica de </t>
  </si>
  <si>
    <t>curva de</t>
  </si>
  <si>
    <t>Luz por OD</t>
  </si>
  <si>
    <t>amostra</t>
  </si>
  <si>
    <t>tioss 1</t>
  </si>
  <si>
    <t>tioss 2</t>
  </si>
  <si>
    <t>média</t>
  </si>
  <si>
    <t>To</t>
  </si>
  <si>
    <t>preto</t>
  </si>
  <si>
    <t>16/04/2008</t>
  </si>
  <si>
    <t>Início da incubação 10h10</t>
  </si>
  <si>
    <t>Término da incubação 12h10</t>
  </si>
  <si>
    <r>
      <t>Intensidade luminosa do dia às 11h da manhã  288 uE m</t>
    </r>
    <r>
      <rPr>
        <vertAlign val="superscript"/>
        <sz val="11"/>
        <color indexed="8"/>
        <rFont val="Calibri"/>
        <family val="2"/>
      </rPr>
      <t>-2</t>
    </r>
    <r>
      <rPr>
        <sz val="11"/>
        <color theme="1"/>
        <rFont val="Calibri"/>
        <family val="2"/>
      </rPr>
      <t xml:space="preserve"> s</t>
    </r>
    <r>
      <rPr>
        <vertAlign val="superscript"/>
        <sz val="11"/>
        <color indexed="8"/>
        <rFont val="Calibri"/>
        <family val="2"/>
      </rPr>
      <t>-1</t>
    </r>
  </si>
  <si>
    <t>Normalidade do Tiossulfato= 0,0091 N</t>
  </si>
  <si>
    <t xml:space="preserve">Intensidade </t>
  </si>
  <si>
    <t>Luminosa</t>
  </si>
  <si>
    <t>(uE m-2 s-1)</t>
  </si>
  <si>
    <t>100% IL</t>
  </si>
  <si>
    <t>72% IL</t>
  </si>
  <si>
    <t>40%IL</t>
  </si>
  <si>
    <t>18%IL</t>
  </si>
  <si>
    <t>7% IL</t>
  </si>
  <si>
    <t>2% IL</t>
  </si>
  <si>
    <t>Frasco</t>
  </si>
  <si>
    <t>medida</t>
  </si>
  <si>
    <t>OD</t>
  </si>
  <si>
    <t>PPB</t>
  </si>
  <si>
    <r>
      <t>concentração de Cl-a ativa na cultura 484,3 mg m</t>
    </r>
    <r>
      <rPr>
        <vertAlign val="superscript"/>
        <sz val="11"/>
        <color indexed="8"/>
        <rFont val="Calibri"/>
        <family val="2"/>
      </rPr>
      <t>-3</t>
    </r>
  </si>
  <si>
    <t>PPL</t>
  </si>
  <si>
    <t>(mg C/m3 h)</t>
  </si>
  <si>
    <t>(mgC/mgCla h)</t>
  </si>
  <si>
    <t>PPL/B</t>
  </si>
  <si>
    <t>PPB/B</t>
  </si>
  <si>
    <t>respiração=0,235 ml/l h</t>
  </si>
  <si>
    <t xml:space="preserve">IL </t>
  </si>
  <si>
    <t>alfa</t>
  </si>
  <si>
    <t xml:space="preserve">alfa </t>
  </si>
  <si>
    <t>IL (E/m2h)</t>
  </si>
  <si>
    <t>IL(Eu/m2s)</t>
  </si>
  <si>
    <t>PP/Cla</t>
  </si>
  <si>
    <t>Ik</t>
  </si>
  <si>
    <t>x</t>
  </si>
  <si>
    <t>y1</t>
  </si>
  <si>
    <t>y2</t>
  </si>
  <si>
    <t>slope</t>
  </si>
  <si>
    <t>rad</t>
  </si>
  <si>
    <t>graus</t>
  </si>
  <si>
    <t>(ml OD/L h)</t>
  </si>
  <si>
    <t>Para calcular os parâmetros da curva, usar os dados de IL em E m-2 h-1.</t>
  </si>
  <si>
    <t>incorreto</t>
  </si>
  <si>
    <t>Pmax</t>
  </si>
  <si>
    <t>Eficiência</t>
  </si>
  <si>
    <t>Fotossintética</t>
  </si>
  <si>
    <t xml:space="preserve"> </t>
  </si>
  <si>
    <t>Transformação da inclinação para graus</t>
  </si>
  <si>
    <r>
      <t>(E m</t>
    </r>
    <r>
      <rPr>
        <vertAlign val="superscript"/>
        <sz val="11"/>
        <rFont val="Calibri"/>
        <family val="2"/>
      </rPr>
      <t>-2</t>
    </r>
    <r>
      <rPr>
        <sz val="11"/>
        <rFont val="Calibri"/>
        <family val="2"/>
      </rPr>
      <t xml:space="preserve"> h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</si>
  <si>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t>(mg OD/L h)</t>
  </si>
  <si>
    <t>(PPB/B)/IL</t>
  </si>
  <si>
    <t>PPB/Cla</t>
  </si>
  <si>
    <t>*3.43</t>
  </si>
  <si>
    <t xml:space="preserve">*dado </t>
  </si>
  <si>
    <t>excluído</t>
  </si>
  <si>
    <t>(PPL+R)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</si>
</sst>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trike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trike/>
      <sz val="11"/>
      <color theme="1"/>
      <name val="Calibri"/>
      <family val="2"/>
    </font>
    <font>
      <sz val="9"/>
      <color theme="1"/>
      <name val="Calibri"/>
      <family val="2"/>
    </font>
    <font>
      <strike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40" fillId="0" borderId="0" xfId="0" applyFont="1" applyAlignment="1">
      <alignment/>
    </xf>
    <xf numFmtId="2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4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/>
    </xf>
    <xf numFmtId="2" fontId="50" fillId="35" borderId="0" xfId="0" applyNumberFormat="1" applyFont="1" applyFill="1" applyAlignment="1">
      <alignment/>
    </xf>
    <xf numFmtId="2" fontId="4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Curva PxE IOB 127 2008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0725"/>
          <c:w val="0.902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Plan1!$C$7:$C$18</c:f>
              <c:numCache/>
            </c:numRef>
          </c:xVal>
          <c:yVal>
            <c:numRef>
              <c:f>Plan1!$R$7:$R$18</c:f>
              <c:numCache/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I.L . (uE m-2 s-1)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2533"/>
        <c:crosses val="autoZero"/>
        <c:crossBetween val="midCat"/>
        <c:dispUnits/>
      </c:valAx>
      <c:valAx>
        <c:axId val="6708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PPB (mgC mCla-1 h-1)
</a:t>
                </a:r>
              </a:p>
            </c:rich>
          </c:tx>
          <c:layout>
            <c:manualLayout>
              <c:xMode val="factor"/>
              <c:yMode val="factor"/>
              <c:x val="0.0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23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Curva P-E (IOB 127 2007)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Exemplo de gráfico com fotoinibição</a:t>
            </a:r>
          </a:p>
        </c:rich>
      </c:tx>
      <c:layout>
        <c:manualLayout>
          <c:xMode val="factor"/>
          <c:yMode val="factor"/>
          <c:x val="0.09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675"/>
          <c:w val="0.9295"/>
          <c:h val="0.7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'[1]Plan1'!$F$23:$F$32</c:f>
              <c:numCache>
                <c:ptCount val="10"/>
                <c:pt idx="0">
                  <c:v>282.2</c:v>
                </c:pt>
                <c:pt idx="1">
                  <c:v>269.75</c:v>
                </c:pt>
                <c:pt idx="2">
                  <c:v>186.75</c:v>
                </c:pt>
                <c:pt idx="3">
                  <c:v>232.4</c:v>
                </c:pt>
                <c:pt idx="4">
                  <c:v>63.08</c:v>
                </c:pt>
                <c:pt idx="5">
                  <c:v>74.7</c:v>
                </c:pt>
                <c:pt idx="6">
                  <c:v>29.88</c:v>
                </c:pt>
                <c:pt idx="7">
                  <c:v>30.295</c:v>
                </c:pt>
                <c:pt idx="8">
                  <c:v>17.845</c:v>
                </c:pt>
                <c:pt idx="9">
                  <c:v>14.359000000000002</c:v>
                </c:pt>
              </c:numCache>
            </c:numRef>
          </c:xVal>
          <c:yVal>
            <c:numRef>
              <c:f>'[1]Plan1'!$J$23:$J$32</c:f>
              <c:numCache>
                <c:ptCount val="10"/>
                <c:pt idx="0">
                  <c:v>5.873447234703985</c:v>
                </c:pt>
                <c:pt idx="1">
                  <c:v>6.028237937814779</c:v>
                </c:pt>
                <c:pt idx="2">
                  <c:v>6.506369220757007</c:v>
                </c:pt>
                <c:pt idx="3">
                  <c:v>6.910544945546298</c:v>
                </c:pt>
                <c:pt idx="4">
                  <c:v>2.270263645624966</c:v>
                </c:pt>
                <c:pt idx="5">
                  <c:v>2.846429040537364</c:v>
                </c:pt>
                <c:pt idx="6">
                  <c:v>0.6105633289370176</c:v>
                </c:pt>
                <c:pt idx="7">
                  <c:v>0.856508557213055</c:v>
                </c:pt>
                <c:pt idx="8">
                  <c:v>0.249385021678501</c:v>
                </c:pt>
                <c:pt idx="9">
                  <c:v>0.18918863713541434</c:v>
                </c:pt>
              </c:numCache>
            </c:numRef>
          </c:yVal>
          <c:smooth val="0"/>
        </c:ser>
        <c:axId val="66871886"/>
        <c:axId val="64976063"/>
      </c:scatterChart>
      <c:valAx>
        <c:axId val="6687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Luz (uE m-2 s-1)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 val="autoZero"/>
        <c:crossBetween val="midCat"/>
        <c:dispUnits/>
      </c:valAx>
      <c:valAx>
        <c:axId val="6497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PP/b (mgC/ mg Cl-a h)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Curva PxE IOB 127 2008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correto com as unidades em termos de hora</a:t>
            </a:r>
          </a:p>
        </c:rich>
      </c:tx>
      <c:layout>
        <c:manualLayout>
          <c:xMode val="factor"/>
          <c:yMode val="factor"/>
          <c:x val="0.080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17125"/>
          <c:w val="0.83175"/>
          <c:h val="0.7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Plan1!$L$7:$L$18</c:f>
              <c:numCache/>
            </c:numRef>
          </c:xVal>
          <c:yVal>
            <c:numRef>
              <c:f>Plan1!$R$7:$R$18</c:f>
              <c:numCache/>
            </c:numRef>
          </c:yVal>
          <c:smooth val="0"/>
        </c:ser>
        <c:axId val="47913656"/>
        <c:axId val="28569721"/>
      </c:scatterChart>
      <c:valAx>
        <c:axId val="4791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I.L . (E m-2 h-1)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69721"/>
        <c:crosses val="autoZero"/>
        <c:crossBetween val="midCat"/>
        <c:dispUnits/>
      </c:valAx>
      <c:valAx>
        <c:axId val="285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PPB (mgC mCl-a-1 h-1)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36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88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Plan2!$C$14:$C$17</c:f>
              <c:numCache/>
            </c:numRef>
          </c:xVal>
          <c:yVal>
            <c:numRef>
              <c:f>Plan2!$D$14:$D$17</c:f>
              <c:numCache/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6035"/>
        <c:crosses val="autoZero"/>
        <c:crossBetween val="midCat"/>
        <c:dispUnits/>
      </c:val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08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88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Plan2!$B$14:$B$17</c:f>
              <c:numCache/>
            </c:numRef>
          </c:xVal>
          <c:yVal>
            <c:numRef>
              <c:f>Plan2!$D$14:$D$17</c:f>
              <c:numCache/>
            </c:numRef>
          </c:yVal>
          <c:smooth val="0"/>
        </c:ser>
        <c:axId val="23578860"/>
        <c:axId val="10883149"/>
      </c:scatterChart>
      <c:val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83149"/>
        <c:crosses val="autoZero"/>
        <c:crossBetween val="midCat"/>
        <c:dispUnits/>
      </c:val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08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83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Plan3!$F$4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Plan3!$E$5:$E$9</c:f>
              <c:numCache/>
            </c:numRef>
          </c:xVal>
          <c:yVal>
            <c:numRef>
              <c:f>Plan3!$F$5:$F$9</c:f>
              <c:numCache/>
            </c:numRef>
          </c:yVal>
          <c:smooth val="0"/>
        </c:ser>
        <c:ser>
          <c:idx val="1"/>
          <c:order val="1"/>
          <c:tx>
            <c:strRef>
              <c:f>Plan3!$G$4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Plan3!$E$5:$E$9</c:f>
              <c:numCache/>
            </c:numRef>
          </c:xVal>
          <c:yVal>
            <c:numRef>
              <c:f>Plan3!$G$5:$G$9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Plan3!$E$5:$E$9</c:f>
              <c:numCache/>
            </c:numRef>
          </c:xVal>
          <c:yVal>
            <c:numRef>
              <c:f>Plan3!$H$5:$H$10</c:f>
              <c:numCache/>
            </c:numRef>
          </c:yVal>
          <c:smooth val="0"/>
        </c:ser>
        <c:axId val="30839478"/>
        <c:axId val="9119847"/>
      </c:scatterChart>
      <c:val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9847"/>
        <c:crosses val="autoZero"/>
        <c:crossBetween val="midCat"/>
        <c:dispUnits/>
      </c:val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9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655"/>
          <c:w val="0.1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276225</xdr:colOff>
      <xdr:row>1</xdr:row>
      <xdr:rowOff>47625</xdr:rowOff>
    </xdr:from>
    <xdr:to>
      <xdr:col>26</xdr:col>
      <xdr:colOff>504825</xdr:colOff>
      <xdr:row>16</xdr:row>
      <xdr:rowOff>9525</xdr:rowOff>
    </xdr:to>
    <xdr:graphicFrame>
      <xdr:nvGraphicFramePr>
        <xdr:cNvPr id="1" name="Gráfico 2"/>
        <xdr:cNvGraphicFramePr/>
      </xdr:nvGraphicFramePr>
      <xdr:xfrm>
        <a:off x="12715875" y="238125"/>
        <a:ext cx="4495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34</xdr:col>
      <xdr:colOff>581025</xdr:colOff>
      <xdr:row>17</xdr:row>
      <xdr:rowOff>161925</xdr:rowOff>
    </xdr:to>
    <xdr:graphicFrame>
      <xdr:nvGraphicFramePr>
        <xdr:cNvPr id="2" name="Chart 2"/>
        <xdr:cNvGraphicFramePr/>
      </xdr:nvGraphicFramePr>
      <xdr:xfrm>
        <a:off x="17926050" y="190500"/>
        <a:ext cx="42386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276225</xdr:colOff>
      <xdr:row>17</xdr:row>
      <xdr:rowOff>95250</xdr:rowOff>
    </xdr:from>
    <xdr:to>
      <xdr:col>26</xdr:col>
      <xdr:colOff>476250</xdr:colOff>
      <xdr:row>32</xdr:row>
      <xdr:rowOff>85725</xdr:rowOff>
    </xdr:to>
    <xdr:graphicFrame>
      <xdr:nvGraphicFramePr>
        <xdr:cNvPr id="3" name="Gráfico 2"/>
        <xdr:cNvGraphicFramePr/>
      </xdr:nvGraphicFramePr>
      <xdr:xfrm>
        <a:off x="12715875" y="3362325"/>
        <a:ext cx="44672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161925</xdr:rowOff>
    </xdr:from>
    <xdr:to>
      <xdr:col>13</xdr:col>
      <xdr:colOff>352425</xdr:colOff>
      <xdr:row>16</xdr:row>
      <xdr:rowOff>47625</xdr:rowOff>
    </xdr:to>
    <xdr:graphicFrame>
      <xdr:nvGraphicFramePr>
        <xdr:cNvPr id="1" name="Gráfico 1"/>
        <xdr:cNvGraphicFramePr/>
      </xdr:nvGraphicFramePr>
      <xdr:xfrm>
        <a:off x="3705225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13</xdr:col>
      <xdr:colOff>304800</xdr:colOff>
      <xdr:row>31</xdr:row>
      <xdr:rowOff>76200</xdr:rowOff>
    </xdr:to>
    <xdr:graphicFrame>
      <xdr:nvGraphicFramePr>
        <xdr:cNvPr id="2" name="Gráfico 2"/>
        <xdr:cNvGraphicFramePr/>
      </xdr:nvGraphicFramePr>
      <xdr:xfrm>
        <a:off x="36576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</xdr:row>
      <xdr:rowOff>123825</xdr:rowOff>
    </xdr:from>
    <xdr:to>
      <xdr:col>15</xdr:col>
      <xdr:colOff>542925</xdr:colOff>
      <xdr:row>17</xdr:row>
      <xdr:rowOff>9525</xdr:rowOff>
    </xdr:to>
    <xdr:graphicFrame>
      <xdr:nvGraphicFramePr>
        <xdr:cNvPr id="1" name="Gráfico 1"/>
        <xdr:cNvGraphicFramePr/>
      </xdr:nvGraphicFramePr>
      <xdr:xfrm>
        <a:off x="5114925" y="504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&#225;via\aulas\IOB127\PP_OD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alunos"/>
      <sheetName val="Plan3"/>
    </sheetNames>
    <sheetDataSet>
      <sheetData sheetId="0">
        <row r="23">
          <cell r="F23">
            <v>282.2</v>
          </cell>
          <cell r="J23">
            <v>5.873447234703985</v>
          </cell>
        </row>
        <row r="24">
          <cell r="F24">
            <v>269.75</v>
          </cell>
          <cell r="J24">
            <v>6.028237937814779</v>
          </cell>
        </row>
        <row r="25">
          <cell r="F25">
            <v>186.75</v>
          </cell>
          <cell r="J25">
            <v>6.506369220757007</v>
          </cell>
        </row>
        <row r="26">
          <cell r="F26">
            <v>232.4</v>
          </cell>
          <cell r="J26">
            <v>6.910544945546298</v>
          </cell>
        </row>
        <row r="27">
          <cell r="F27">
            <v>63.08</v>
          </cell>
          <cell r="J27">
            <v>2.270263645624966</v>
          </cell>
        </row>
        <row r="28">
          <cell r="F28">
            <v>74.7</v>
          </cell>
          <cell r="J28">
            <v>2.846429040537364</v>
          </cell>
        </row>
        <row r="29">
          <cell r="F29">
            <v>29.88</v>
          </cell>
          <cell r="J29">
            <v>0.6105633289370176</v>
          </cell>
        </row>
        <row r="30">
          <cell r="F30">
            <v>30.295</v>
          </cell>
          <cell r="J30">
            <v>0.856508557213055</v>
          </cell>
        </row>
        <row r="31">
          <cell r="F31">
            <v>17.845</v>
          </cell>
          <cell r="J31">
            <v>0.249385021678501</v>
          </cell>
        </row>
        <row r="32">
          <cell r="F32">
            <v>14.359000000000002</v>
          </cell>
          <cell r="J32">
            <v>0.18918863713541434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I1">
      <selection activeCell="K7" sqref="K7"/>
    </sheetView>
  </sheetViews>
  <sheetFormatPr defaultColWidth="9.140625" defaultRowHeight="15"/>
  <cols>
    <col min="2" max="3" width="12.57421875" style="0" customWidth="1"/>
    <col min="9" max="9" width="10.28125" style="0" customWidth="1"/>
    <col min="10" max="10" width="10.140625" style="0" customWidth="1"/>
    <col min="11" max="11" width="10.00390625" style="0" customWidth="1"/>
    <col min="13" max="13" width="8.7109375" style="2" customWidth="1"/>
    <col min="14" max="14" width="9.140625" style="2" customWidth="1"/>
    <col min="15" max="15" width="10.8515625" style="2" customWidth="1"/>
    <col min="18" max="18" width="10.8515625" style="0" customWidth="1"/>
    <col min="19" max="19" width="9.140625" style="2" customWidth="1"/>
  </cols>
  <sheetData>
    <row r="1" spans="1:19" ht="15">
      <c r="A1" t="s">
        <v>0</v>
      </c>
      <c r="B1" s="1" t="s">
        <v>10</v>
      </c>
      <c r="C1" s="1" t="s">
        <v>15</v>
      </c>
      <c r="D1" t="s">
        <v>1</v>
      </c>
      <c r="E1" t="s">
        <v>2</v>
      </c>
      <c r="F1" t="s">
        <v>3</v>
      </c>
      <c r="H1" t="s">
        <v>26</v>
      </c>
      <c r="I1" t="s">
        <v>29</v>
      </c>
      <c r="J1" s="12"/>
      <c r="K1" t="s">
        <v>27</v>
      </c>
      <c r="M1" s="2" t="s">
        <v>29</v>
      </c>
      <c r="N1" s="2" t="s">
        <v>29</v>
      </c>
      <c r="O1" s="2" t="s">
        <v>32</v>
      </c>
      <c r="P1" s="2" t="s">
        <v>27</v>
      </c>
      <c r="Q1" s="2" t="s">
        <v>27</v>
      </c>
      <c r="R1" s="13" t="s">
        <v>33</v>
      </c>
      <c r="S1" s="2" t="s">
        <v>58</v>
      </c>
    </row>
    <row r="2" spans="1:18" ht="15">
      <c r="A2" t="s">
        <v>4</v>
      </c>
      <c r="B2" t="s">
        <v>24</v>
      </c>
      <c r="C2" t="s">
        <v>16</v>
      </c>
      <c r="D2" t="s">
        <v>5</v>
      </c>
      <c r="E2" t="s">
        <v>6</v>
      </c>
      <c r="F2" t="s">
        <v>7</v>
      </c>
      <c r="H2" s="12" t="s">
        <v>48</v>
      </c>
      <c r="I2" s="12" t="s">
        <v>48</v>
      </c>
      <c r="J2" s="12"/>
      <c r="K2" s="12" t="s">
        <v>48</v>
      </c>
      <c r="M2" s="5" t="s">
        <v>57</v>
      </c>
      <c r="N2" s="5" t="s">
        <v>30</v>
      </c>
      <c r="O2" s="5" t="s">
        <v>31</v>
      </c>
      <c r="P2" s="5" t="s">
        <v>57</v>
      </c>
      <c r="Q2" s="5" t="s">
        <v>30</v>
      </c>
      <c r="R2" s="14" t="s">
        <v>31</v>
      </c>
    </row>
    <row r="3" spans="1:19" ht="15">
      <c r="A3" t="s">
        <v>8</v>
      </c>
      <c r="B3">
        <v>1</v>
      </c>
      <c r="C3" t="s">
        <v>17</v>
      </c>
      <c r="D3">
        <v>3.048</v>
      </c>
      <c r="E3">
        <v>3.03</v>
      </c>
      <c r="F3">
        <f>AVERAGE(D3:E3)</f>
        <v>3.0389999999999997</v>
      </c>
      <c r="H3" s="2">
        <f>5600*(0.0091*F3)/(24.675*2)</f>
        <v>3.1381446808510636</v>
      </c>
      <c r="K3" t="s">
        <v>63</v>
      </c>
      <c r="R3" s="15"/>
      <c r="S3" s="2" t="s">
        <v>52</v>
      </c>
    </row>
    <row r="4" spans="1:19" ht="15">
      <c r="A4" t="s">
        <v>8</v>
      </c>
      <c r="B4">
        <v>2</v>
      </c>
      <c r="C4" t="s">
        <v>25</v>
      </c>
      <c r="D4">
        <v>3.026</v>
      </c>
      <c r="E4">
        <v>2.98</v>
      </c>
      <c r="F4">
        <f aca="true" t="shared" si="0" ref="F4:F20">AVERAGE(D4:E4)</f>
        <v>3.003</v>
      </c>
      <c r="H4" s="2">
        <f aca="true" t="shared" si="1" ref="H4:H20">5600*(0.0091*F4)/(24.675*2)</f>
        <v>3.1009702127659575</v>
      </c>
      <c r="R4" s="15"/>
      <c r="S4" s="2" t="s">
        <v>53</v>
      </c>
    </row>
    <row r="5" spans="1:19" ht="15">
      <c r="A5" t="s">
        <v>8</v>
      </c>
      <c r="B5">
        <v>3</v>
      </c>
      <c r="D5">
        <v>2.94</v>
      </c>
      <c r="E5">
        <v>2.98</v>
      </c>
      <c r="F5">
        <f t="shared" si="0"/>
        <v>2.96</v>
      </c>
      <c r="H5" s="2">
        <f t="shared" si="1"/>
        <v>3.056567375886525</v>
      </c>
      <c r="K5" s="9"/>
      <c r="L5" s="11" t="s">
        <v>35</v>
      </c>
      <c r="R5" s="15"/>
      <c r="S5" s="2" t="s">
        <v>54</v>
      </c>
    </row>
    <row r="6" spans="1:18" ht="17.25">
      <c r="A6" t="s">
        <v>8</v>
      </c>
      <c r="B6">
        <v>4</v>
      </c>
      <c r="D6">
        <v>2.96</v>
      </c>
      <c r="E6">
        <v>2.95</v>
      </c>
      <c r="F6">
        <f t="shared" si="0"/>
        <v>2.955</v>
      </c>
      <c r="G6" s="2"/>
      <c r="H6" s="2">
        <f t="shared" si="1"/>
        <v>3.051404255319149</v>
      </c>
      <c r="I6" s="3">
        <f>AVERAGE(H3:H6)</f>
        <v>3.0867716312056737</v>
      </c>
      <c r="J6" s="12"/>
      <c r="K6" s="9"/>
      <c r="L6" s="11" t="s">
        <v>56</v>
      </c>
      <c r="R6" s="15" t="s">
        <v>33</v>
      </c>
    </row>
    <row r="7" spans="1:19" ht="15">
      <c r="A7" t="s">
        <v>18</v>
      </c>
      <c r="B7">
        <v>5</v>
      </c>
      <c r="C7">
        <v>332</v>
      </c>
      <c r="D7">
        <v>5.06</v>
      </c>
      <c r="E7">
        <v>4.99</v>
      </c>
      <c r="F7">
        <f>AVERAGE(D7:E7)</f>
        <v>5.025</v>
      </c>
      <c r="H7" s="2">
        <f t="shared" si="1"/>
        <v>5.188936170212766</v>
      </c>
      <c r="I7" s="2">
        <f>H7-I$6</f>
        <v>2.102164539007092</v>
      </c>
      <c r="K7" s="10">
        <f>I7+0.235</f>
        <v>2.337164539007092</v>
      </c>
      <c r="L7" s="11">
        <f>C7*0.0036</f>
        <v>1.1952</v>
      </c>
      <c r="M7" s="2">
        <f aca="true" t="shared" si="2" ref="M7:M18">I7/0.7</f>
        <v>3.00309219858156</v>
      </c>
      <c r="N7" s="2">
        <f>M7*375</f>
        <v>1126.159574468085</v>
      </c>
      <c r="O7" s="2">
        <f>N7/484.3</f>
        <v>2.3253346571713505</v>
      </c>
      <c r="P7" s="2">
        <f>K7/0.7</f>
        <v>3.3388064842958456</v>
      </c>
      <c r="Q7">
        <f>P7*375</f>
        <v>1252.052431610942</v>
      </c>
      <c r="R7" s="13">
        <f>Q7/484.3</f>
        <v>2.585282741298662</v>
      </c>
      <c r="S7" s="2">
        <f>R7/L7</f>
        <v>2.1630545024252523</v>
      </c>
    </row>
    <row r="8" spans="1:19" ht="15">
      <c r="A8" t="s">
        <v>18</v>
      </c>
      <c r="B8">
        <v>6</v>
      </c>
      <c r="C8">
        <v>332</v>
      </c>
      <c r="D8">
        <v>5.39</v>
      </c>
      <c r="E8">
        <v>5.26</v>
      </c>
      <c r="F8">
        <f t="shared" si="0"/>
        <v>5.324999999999999</v>
      </c>
      <c r="H8" s="2">
        <f t="shared" si="1"/>
        <v>5.498723404255318</v>
      </c>
      <c r="I8" s="2">
        <f aca="true" t="shared" si="3" ref="I8:I18">H8-I$6</f>
        <v>2.4119517730496445</v>
      </c>
      <c r="K8" s="10">
        <f aca="true" t="shared" si="4" ref="K8:K18">I8+0.235</f>
        <v>2.6469517730496444</v>
      </c>
      <c r="L8" s="11">
        <f aca="true" t="shared" si="5" ref="L8:L18">C8*0.0036</f>
        <v>1.1952</v>
      </c>
      <c r="M8" s="2">
        <f t="shared" si="2"/>
        <v>3.4456453900709207</v>
      </c>
      <c r="N8" s="2">
        <f aca="true" t="shared" si="6" ref="N8:N14">M8*375</f>
        <v>1292.1170212765953</v>
      </c>
      <c r="O8" s="2">
        <f aca="true" t="shared" si="7" ref="O8:O14">N8/484.3</f>
        <v>2.668009542177566</v>
      </c>
      <c r="P8" s="2">
        <f aca="true" t="shared" si="8" ref="P8:P18">K8/0.7</f>
        <v>3.7813596757852066</v>
      </c>
      <c r="Q8">
        <f aca="true" t="shared" si="9" ref="Q8:Q18">P8*375</f>
        <v>1418.0098784194524</v>
      </c>
      <c r="R8" s="16">
        <f aca="true" t="shared" si="10" ref="R8:R17">Q8/484.3</f>
        <v>2.927957626304878</v>
      </c>
      <c r="S8" s="2">
        <f>R8/L8</f>
        <v>2.4497637435616446</v>
      </c>
    </row>
    <row r="9" spans="1:19" ht="15">
      <c r="A9" t="s">
        <v>19</v>
      </c>
      <c r="B9">
        <v>7</v>
      </c>
      <c r="C9">
        <v>249</v>
      </c>
      <c r="D9">
        <v>5.05</v>
      </c>
      <c r="E9">
        <v>5.2</v>
      </c>
      <c r="F9">
        <f t="shared" si="0"/>
        <v>5.125</v>
      </c>
      <c r="H9" s="2">
        <f t="shared" si="1"/>
        <v>5.292198581560283</v>
      </c>
      <c r="I9" s="2">
        <f>H9-I$6</f>
        <v>2.20542695035461</v>
      </c>
      <c r="K9" s="10">
        <f t="shared" si="4"/>
        <v>2.4404269503546097</v>
      </c>
      <c r="L9" s="11">
        <f t="shared" si="5"/>
        <v>0.8964</v>
      </c>
      <c r="M9" s="2">
        <f t="shared" si="2"/>
        <v>3.1506099290780143</v>
      </c>
      <c r="N9" s="2">
        <f t="shared" si="6"/>
        <v>1181.4787234042553</v>
      </c>
      <c r="O9" s="2">
        <f t="shared" si="7"/>
        <v>2.4395596188400894</v>
      </c>
      <c r="P9" s="2">
        <f t="shared" si="8"/>
        <v>3.4863242147922997</v>
      </c>
      <c r="Q9">
        <f t="shared" si="9"/>
        <v>1307.3715805471124</v>
      </c>
      <c r="R9" s="13">
        <f t="shared" si="10"/>
        <v>2.6995077029674013</v>
      </c>
      <c r="S9" s="2">
        <f aca="true" t="shared" si="11" ref="S9:S18">R9/L9</f>
        <v>3.01149899929429</v>
      </c>
    </row>
    <row r="10" spans="1:19" ht="15">
      <c r="A10" t="s">
        <v>19</v>
      </c>
      <c r="B10">
        <v>8</v>
      </c>
      <c r="C10">
        <v>298.8</v>
      </c>
      <c r="D10">
        <v>5.976</v>
      </c>
      <c r="E10">
        <v>5.67</v>
      </c>
      <c r="F10">
        <f t="shared" si="0"/>
        <v>5.823</v>
      </c>
      <c r="H10" s="2">
        <f t="shared" si="1"/>
        <v>6.012970212765958</v>
      </c>
      <c r="I10" s="2">
        <f t="shared" si="3"/>
        <v>2.9261985815602842</v>
      </c>
      <c r="K10" s="10">
        <f t="shared" si="4"/>
        <v>3.161198581560284</v>
      </c>
      <c r="L10" s="11">
        <f t="shared" si="5"/>
        <v>1.07568</v>
      </c>
      <c r="M10" s="2">
        <f t="shared" si="2"/>
        <v>4.180283687943263</v>
      </c>
      <c r="N10" s="2">
        <f t="shared" si="6"/>
        <v>1567.6063829787238</v>
      </c>
      <c r="O10" s="2">
        <f t="shared" si="7"/>
        <v>3.236849851287887</v>
      </c>
      <c r="P10" s="2">
        <f t="shared" si="8"/>
        <v>4.515997973657549</v>
      </c>
      <c r="Q10">
        <f t="shared" si="9"/>
        <v>1693.499240121581</v>
      </c>
      <c r="R10" s="13">
        <f t="shared" si="10"/>
        <v>3.496797935415199</v>
      </c>
      <c r="S10" s="2">
        <f t="shared" si="11"/>
        <v>3.250778982053398</v>
      </c>
    </row>
    <row r="11" spans="1:19" ht="15">
      <c r="A11" t="s">
        <v>20</v>
      </c>
      <c r="B11">
        <v>9</v>
      </c>
      <c r="C11">
        <v>96.28</v>
      </c>
      <c r="D11">
        <v>4.736</v>
      </c>
      <c r="E11">
        <v>4.44</v>
      </c>
      <c r="F11">
        <f t="shared" si="0"/>
        <v>4.588</v>
      </c>
      <c r="H11" s="2">
        <f t="shared" si="1"/>
        <v>4.737679432624113</v>
      </c>
      <c r="I11" s="2">
        <f t="shared" si="3"/>
        <v>1.6509078014184397</v>
      </c>
      <c r="K11" s="10">
        <f t="shared" si="4"/>
        <v>1.8859078014184396</v>
      </c>
      <c r="L11" s="11">
        <f t="shared" si="5"/>
        <v>0.34660799999999997</v>
      </c>
      <c r="M11" s="2">
        <f t="shared" si="2"/>
        <v>2.358439716312057</v>
      </c>
      <c r="N11" s="2">
        <f t="shared" si="6"/>
        <v>884.4148936170213</v>
      </c>
      <c r="O11" s="2">
        <f t="shared" si="7"/>
        <v>1.826171574678962</v>
      </c>
      <c r="P11" s="2">
        <f t="shared" si="8"/>
        <v>2.6941540020263424</v>
      </c>
      <c r="Q11">
        <f t="shared" si="9"/>
        <v>1010.3077507598783</v>
      </c>
      <c r="R11" s="13">
        <f t="shared" si="10"/>
        <v>2.0861196588062736</v>
      </c>
      <c r="S11" s="2">
        <f t="shared" si="11"/>
        <v>6.018671406333016</v>
      </c>
    </row>
    <row r="12" spans="1:19" ht="15">
      <c r="A12" t="s">
        <v>20</v>
      </c>
      <c r="B12">
        <v>10</v>
      </c>
      <c r="C12">
        <v>96.28</v>
      </c>
      <c r="D12">
        <v>4.672</v>
      </c>
      <c r="E12">
        <v>4.25</v>
      </c>
      <c r="F12">
        <f t="shared" si="0"/>
        <v>4.461</v>
      </c>
      <c r="H12" s="2">
        <f t="shared" si="1"/>
        <v>4.606536170212766</v>
      </c>
      <c r="I12" s="2">
        <f t="shared" si="3"/>
        <v>1.5197645390070922</v>
      </c>
      <c r="K12" s="10">
        <f t="shared" si="4"/>
        <v>1.754764539007092</v>
      </c>
      <c r="L12" s="11">
        <f t="shared" si="5"/>
        <v>0.34660799999999997</v>
      </c>
      <c r="M12" s="2">
        <f t="shared" si="2"/>
        <v>2.1710921985815603</v>
      </c>
      <c r="N12" s="2">
        <f t="shared" si="6"/>
        <v>814.1595744680851</v>
      </c>
      <c r="O12" s="2">
        <f t="shared" si="7"/>
        <v>1.6811058733596635</v>
      </c>
      <c r="P12" s="2">
        <f t="shared" si="8"/>
        <v>2.506806484295846</v>
      </c>
      <c r="Q12">
        <f t="shared" si="9"/>
        <v>940.0524316109423</v>
      </c>
      <c r="R12" s="13">
        <f t="shared" si="10"/>
        <v>1.9410539574869756</v>
      </c>
      <c r="S12" s="2">
        <f t="shared" si="11"/>
        <v>5.600141824444259</v>
      </c>
    </row>
    <row r="13" spans="1:19" ht="15">
      <c r="A13" t="s">
        <v>21</v>
      </c>
      <c r="B13">
        <v>11</v>
      </c>
      <c r="C13">
        <v>26.56</v>
      </c>
      <c r="D13">
        <v>3.574</v>
      </c>
      <c r="E13">
        <v>3.548</v>
      </c>
      <c r="F13">
        <f>AVERAGE(D13:E13)</f>
        <v>3.561</v>
      </c>
      <c r="H13" s="2">
        <f t="shared" si="1"/>
        <v>3.677174468085106</v>
      </c>
      <c r="I13" s="2">
        <f t="shared" si="3"/>
        <v>0.5904028368794325</v>
      </c>
      <c r="K13" s="10">
        <f t="shared" si="4"/>
        <v>0.8254028368794325</v>
      </c>
      <c r="L13" s="11">
        <f t="shared" si="5"/>
        <v>0.09561599999999999</v>
      </c>
      <c r="M13" s="2">
        <f t="shared" si="2"/>
        <v>0.8434326241134751</v>
      </c>
      <c r="N13" s="2">
        <f t="shared" si="6"/>
        <v>316.28723404255317</v>
      </c>
      <c r="O13" s="2">
        <f t="shared" si="7"/>
        <v>0.6530812183410142</v>
      </c>
      <c r="P13" s="2">
        <f t="shared" si="8"/>
        <v>1.1791469098277607</v>
      </c>
      <c r="Q13">
        <f t="shared" si="9"/>
        <v>442.1800911854103</v>
      </c>
      <c r="R13" s="13">
        <f>Q13/484.3</f>
        <v>0.9130293024683259</v>
      </c>
      <c r="S13" s="2">
        <f t="shared" si="11"/>
        <v>9.548917570995712</v>
      </c>
    </row>
    <row r="14" spans="1:19" ht="15">
      <c r="A14" t="s">
        <v>21</v>
      </c>
      <c r="B14">
        <v>12</v>
      </c>
      <c r="C14">
        <v>26.56</v>
      </c>
      <c r="D14">
        <v>3.794</v>
      </c>
      <c r="E14">
        <v>3.75</v>
      </c>
      <c r="F14">
        <f>AVERAGE(D14:E14)</f>
        <v>3.7720000000000002</v>
      </c>
      <c r="H14" s="2">
        <f t="shared" si="1"/>
        <v>3.8950581560283695</v>
      </c>
      <c r="I14" s="2">
        <f t="shared" si="3"/>
        <v>0.8082865248226958</v>
      </c>
      <c r="K14" s="10">
        <f t="shared" si="4"/>
        <v>1.0432865248226957</v>
      </c>
      <c r="L14" s="11">
        <f t="shared" si="5"/>
        <v>0.09561599999999999</v>
      </c>
      <c r="M14" s="2">
        <f t="shared" si="2"/>
        <v>1.1546950354609942</v>
      </c>
      <c r="N14" s="2">
        <f t="shared" si="6"/>
        <v>433.0106382978728</v>
      </c>
      <c r="O14" s="2">
        <f t="shared" si="7"/>
        <v>0.894095887462054</v>
      </c>
      <c r="P14" s="2">
        <f t="shared" si="8"/>
        <v>1.4904093211752796</v>
      </c>
      <c r="Q14">
        <f t="shared" si="9"/>
        <v>558.9034954407299</v>
      </c>
      <c r="R14" s="13">
        <f t="shared" si="10"/>
        <v>1.1540439715893658</v>
      </c>
      <c r="S14" s="2">
        <f t="shared" si="11"/>
        <v>12.06956964931984</v>
      </c>
    </row>
    <row r="15" spans="1:19" ht="15">
      <c r="A15" t="s">
        <v>22</v>
      </c>
      <c r="B15">
        <v>13</v>
      </c>
      <c r="C15">
        <f>0.06*166</f>
        <v>9.959999999999999</v>
      </c>
      <c r="D15">
        <v>2.92</v>
      </c>
      <c r="E15">
        <v>2.95</v>
      </c>
      <c r="F15">
        <f t="shared" si="0"/>
        <v>2.935</v>
      </c>
      <c r="H15" s="2">
        <f t="shared" si="1"/>
        <v>3.030751773049646</v>
      </c>
      <c r="I15" s="3">
        <f t="shared" si="3"/>
        <v>-0.05601985815602761</v>
      </c>
      <c r="K15" s="10">
        <f t="shared" si="4"/>
        <v>0.17898014184397237</v>
      </c>
      <c r="L15" s="11">
        <f t="shared" si="5"/>
        <v>0.035856</v>
      </c>
      <c r="M15" s="2">
        <f t="shared" si="2"/>
        <v>-0.08002836879432516</v>
      </c>
      <c r="P15" s="2">
        <f t="shared" si="8"/>
        <v>0.25568591691996057</v>
      </c>
      <c r="Q15">
        <f t="shared" si="9"/>
        <v>95.88221884498522</v>
      </c>
      <c r="R15" s="13">
        <f t="shared" si="10"/>
        <v>0.1979810424220219</v>
      </c>
      <c r="S15" s="2">
        <f t="shared" si="11"/>
        <v>5.521559639168394</v>
      </c>
    </row>
    <row r="16" spans="1:19" ht="15">
      <c r="A16" t="s">
        <v>22</v>
      </c>
      <c r="B16">
        <v>14</v>
      </c>
      <c r="C16">
        <f>0.07*166</f>
        <v>11.620000000000001</v>
      </c>
      <c r="D16">
        <v>2.92</v>
      </c>
      <c r="E16">
        <v>2.84</v>
      </c>
      <c r="F16">
        <f t="shared" si="0"/>
        <v>2.88</v>
      </c>
      <c r="H16" s="2">
        <f t="shared" si="1"/>
        <v>2.97395744680851</v>
      </c>
      <c r="I16" s="3">
        <f t="shared" si="3"/>
        <v>-0.11281418439716351</v>
      </c>
      <c r="K16" s="10">
        <f t="shared" si="4"/>
        <v>0.12218581560283648</v>
      </c>
      <c r="L16" s="11">
        <f t="shared" si="5"/>
        <v>0.041832</v>
      </c>
      <c r="M16" s="2">
        <f t="shared" si="2"/>
        <v>-0.16116312056737644</v>
      </c>
      <c r="P16" s="2">
        <f t="shared" si="8"/>
        <v>0.17455116514690927</v>
      </c>
      <c r="Q16">
        <f t="shared" si="9"/>
        <v>65.45668693009098</v>
      </c>
      <c r="R16" s="13">
        <f t="shared" si="10"/>
        <v>0.13515731350421428</v>
      </c>
      <c r="S16" s="2">
        <f t="shared" si="11"/>
        <v>3.2309550942870118</v>
      </c>
    </row>
    <row r="17" spans="1:19" ht="15">
      <c r="A17" t="s">
        <v>23</v>
      </c>
      <c r="B17">
        <v>15</v>
      </c>
      <c r="C17">
        <f>0.23*16.6</f>
        <v>3.8180000000000005</v>
      </c>
      <c r="D17">
        <v>2.83</v>
      </c>
      <c r="E17">
        <v>2.59</v>
      </c>
      <c r="F17">
        <f t="shared" si="0"/>
        <v>2.71</v>
      </c>
      <c r="H17" s="2">
        <f t="shared" si="1"/>
        <v>2.798411347517731</v>
      </c>
      <c r="I17" s="3">
        <f t="shared" si="3"/>
        <v>-0.28836028368794286</v>
      </c>
      <c r="K17" s="10">
        <f t="shared" si="4"/>
        <v>-0.05336028368794288</v>
      </c>
      <c r="L17" s="11">
        <f>C17*0.0036</f>
        <v>0.013744800000000001</v>
      </c>
      <c r="M17" s="2">
        <f t="shared" si="2"/>
        <v>-0.411943262411347</v>
      </c>
      <c r="P17" s="2">
        <f t="shared" si="8"/>
        <v>-0.07622897669706126</v>
      </c>
      <c r="Q17">
        <f t="shared" si="9"/>
        <v>-28.58586626139797</v>
      </c>
      <c r="R17" s="13">
        <f t="shared" si="10"/>
        <v>-0.059025121332640866</v>
      </c>
      <c r="S17" s="2">
        <f t="shared" si="11"/>
        <v>-4.294360145847219</v>
      </c>
    </row>
    <row r="18" spans="1:19" ht="15">
      <c r="A18" t="s">
        <v>23</v>
      </c>
      <c r="B18">
        <v>16</v>
      </c>
      <c r="C18">
        <f>0.25*16.6</f>
        <v>4.15</v>
      </c>
      <c r="D18">
        <v>2.99</v>
      </c>
      <c r="E18" s="4" t="s">
        <v>60</v>
      </c>
      <c r="F18">
        <v>2.99</v>
      </c>
      <c r="H18" s="2">
        <f t="shared" si="1"/>
        <v>3.0875460992907806</v>
      </c>
      <c r="I18" s="2">
        <f t="shared" si="3"/>
        <v>0.0007744680851069496</v>
      </c>
      <c r="K18" s="10">
        <f t="shared" si="4"/>
        <v>0.23577446808510694</v>
      </c>
      <c r="L18" s="11">
        <f t="shared" si="5"/>
        <v>0.01494</v>
      </c>
      <c r="M18" s="2">
        <f t="shared" si="2"/>
        <v>0.0011063829787242138</v>
      </c>
      <c r="P18" s="2">
        <f t="shared" si="8"/>
        <v>0.3368206686930099</v>
      </c>
      <c r="Q18">
        <f t="shared" si="9"/>
        <v>126.30775075987872</v>
      </c>
      <c r="R18" s="13">
        <f>Q18/(484.3*L7)</f>
        <v>0.2182101500500569</v>
      </c>
      <c r="S18" s="2">
        <f t="shared" si="11"/>
        <v>14.605766402279578</v>
      </c>
    </row>
    <row r="19" spans="1:18" ht="15">
      <c r="A19" t="s">
        <v>9</v>
      </c>
      <c r="B19">
        <v>17</v>
      </c>
      <c r="C19">
        <v>0</v>
      </c>
      <c r="D19">
        <v>2.738</v>
      </c>
      <c r="E19">
        <v>2.78</v>
      </c>
      <c r="F19">
        <f t="shared" si="0"/>
        <v>2.759</v>
      </c>
      <c r="H19" s="2">
        <f t="shared" si="1"/>
        <v>2.8490099290780146</v>
      </c>
      <c r="I19" s="27">
        <f>I$6-H19</f>
        <v>0.237761702127659</v>
      </c>
      <c r="J19" s="30" t="s">
        <v>54</v>
      </c>
      <c r="R19" s="15"/>
    </row>
    <row r="20" spans="1:18" ht="15">
      <c r="A20" t="s">
        <v>9</v>
      </c>
      <c r="B20">
        <v>18</v>
      </c>
      <c r="C20">
        <v>0</v>
      </c>
      <c r="D20">
        <v>2.75</v>
      </c>
      <c r="E20">
        <v>2.79</v>
      </c>
      <c r="F20">
        <f t="shared" si="0"/>
        <v>2.77</v>
      </c>
      <c r="H20" s="2">
        <f t="shared" si="1"/>
        <v>2.860368794326241</v>
      </c>
      <c r="I20" s="27">
        <f>I$6-H20</f>
        <v>0.22640283687943263</v>
      </c>
      <c r="J20" s="30"/>
      <c r="R20" s="15"/>
    </row>
    <row r="21" spans="5:18" ht="15">
      <c r="E21" s="4" t="s">
        <v>61</v>
      </c>
      <c r="I21" s="29"/>
      <c r="J21" s="30"/>
      <c r="N21" s="17" t="s">
        <v>50</v>
      </c>
      <c r="R21" s="15"/>
    </row>
    <row r="22" spans="5:18" ht="15">
      <c r="E22" s="4" t="s">
        <v>62</v>
      </c>
      <c r="I22" s="28" t="s">
        <v>34</v>
      </c>
      <c r="J22" s="28"/>
      <c r="M22" s="5" t="s">
        <v>38</v>
      </c>
      <c r="N22" s="17" t="s">
        <v>39</v>
      </c>
      <c r="O22" s="2" t="s">
        <v>59</v>
      </c>
      <c r="R22" s="15"/>
    </row>
    <row r="23" spans="1:15" ht="15">
      <c r="A23" t="s">
        <v>14</v>
      </c>
      <c r="M23" s="8">
        <v>0.09561599999999999</v>
      </c>
      <c r="N23" s="18">
        <v>26.56</v>
      </c>
      <c r="O23" s="2">
        <v>0.9130293024683259</v>
      </c>
    </row>
    <row r="24" spans="1:15" ht="15">
      <c r="A24" t="s">
        <v>11</v>
      </c>
      <c r="M24" s="8">
        <v>0.09561599999999999</v>
      </c>
      <c r="N24" s="18">
        <v>26.56</v>
      </c>
      <c r="O24" s="2">
        <v>1.1540439715893658</v>
      </c>
    </row>
    <row r="25" spans="1:15" ht="15">
      <c r="A25" t="s">
        <v>12</v>
      </c>
      <c r="M25" s="8">
        <v>0.035856</v>
      </c>
      <c r="N25" s="18">
        <f>0.06*166</f>
        <v>9.959999999999999</v>
      </c>
      <c r="O25" s="2">
        <v>0.1979810424220219</v>
      </c>
    </row>
    <row r="26" spans="1:15" ht="17.25">
      <c r="A26" t="s">
        <v>13</v>
      </c>
      <c r="M26" s="8">
        <v>0.041832</v>
      </c>
      <c r="N26" s="18">
        <f>0.07*166</f>
        <v>11.620000000000001</v>
      </c>
      <c r="O26" s="2">
        <v>0.13515731350421428</v>
      </c>
    </row>
    <row r="27" spans="1:15" ht="17.25">
      <c r="A27" t="s">
        <v>28</v>
      </c>
      <c r="M27" s="8">
        <v>0.013744800000000001</v>
      </c>
      <c r="N27" s="18">
        <f>0.23*16.6</f>
        <v>3.8180000000000005</v>
      </c>
      <c r="O27" s="2">
        <v>-0.059025121332640866</v>
      </c>
    </row>
    <row r="28" spans="13:19" ht="15">
      <c r="M28" s="8">
        <v>0.01494</v>
      </c>
      <c r="N28" s="18">
        <f>0.25*16.6</f>
        <v>4.15</v>
      </c>
      <c r="O28" s="2">
        <v>0.2182101500500569</v>
      </c>
      <c r="P28" s="19" t="s">
        <v>55</v>
      </c>
      <c r="Q28" s="19"/>
      <c r="R28" s="19"/>
      <c r="S28" s="20"/>
    </row>
    <row r="29" spans="14:19" ht="15">
      <c r="N29" s="6"/>
      <c r="P29" s="21" t="s">
        <v>36</v>
      </c>
      <c r="Q29" s="21" t="s">
        <v>46</v>
      </c>
      <c r="R29" s="21" t="s">
        <v>47</v>
      </c>
      <c r="S29" s="20"/>
    </row>
    <row r="30" spans="11:19" ht="15">
      <c r="K30" s="2"/>
      <c r="L30" s="24" t="s">
        <v>37</v>
      </c>
      <c r="M30" s="24">
        <f>SLOPE(O23:O28,M23:M28)</f>
        <v>12.322115616516282</v>
      </c>
      <c r="N30" s="17">
        <f>SLOPE(O23:O28,N23:N28)</f>
        <v>0.0443596162194586</v>
      </c>
      <c r="P30" s="22">
        <v>12.32</v>
      </c>
      <c r="Q30" s="21">
        <f>ATAN(M30)</f>
        <v>1.489818896173002</v>
      </c>
      <c r="R30" s="23">
        <f>DEGREES(Q30)</f>
        <v>85.360334989552</v>
      </c>
      <c r="S30" s="20"/>
    </row>
    <row r="31" spans="12:14" ht="15">
      <c r="L31" s="25" t="s">
        <v>41</v>
      </c>
      <c r="M31" s="24">
        <v>0.2145773545525698</v>
      </c>
      <c r="N31" s="26">
        <v>59.59963768115943</v>
      </c>
    </row>
    <row r="32" spans="12:13" ht="15">
      <c r="L32" s="25" t="s">
        <v>51</v>
      </c>
      <c r="M32" s="24">
        <v>2.93</v>
      </c>
    </row>
    <row r="33" spans="12:18" ht="15">
      <c r="L33" s="7" t="s">
        <v>49</v>
      </c>
      <c r="M33" s="7"/>
      <c r="N33" s="7"/>
      <c r="O33" s="7"/>
      <c r="P33" s="7"/>
      <c r="Q33" s="7"/>
      <c r="R33" s="7"/>
    </row>
  </sheetData>
  <sheetProtection/>
  <printOptions/>
  <pageMargins left="0.511811024" right="0.511811024" top="0.787401575" bottom="0.787401575" header="0.31496062" footer="0.3149606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7"/>
  <sheetViews>
    <sheetView zoomScalePageLayoutView="0" workbookViewId="0" topLeftCell="A4">
      <selection activeCell="C11" sqref="C11:D11"/>
    </sheetView>
  </sheetViews>
  <sheetFormatPr defaultColWidth="9.140625" defaultRowHeight="15"/>
  <sheetData>
    <row r="3" spans="3:5" ht="15">
      <c r="C3" s="2" t="s">
        <v>38</v>
      </c>
      <c r="D3" s="2" t="s">
        <v>39</v>
      </c>
      <c r="E3" s="2" t="s">
        <v>40</v>
      </c>
    </row>
    <row r="4" spans="3:5" ht="15">
      <c r="C4" s="2">
        <v>0.09561599999999999</v>
      </c>
      <c r="D4">
        <v>26.56</v>
      </c>
      <c r="E4" s="2">
        <v>1.4471769175201645</v>
      </c>
    </row>
    <row r="5" spans="3:5" ht="15">
      <c r="C5" s="2">
        <v>0.035856</v>
      </c>
      <c r="D5">
        <f>0.06*166</f>
        <v>9.959999999999999</v>
      </c>
      <c r="E5" s="2">
        <v>0.4911139883528204</v>
      </c>
    </row>
    <row r="6" spans="3:5" ht="15">
      <c r="C6" s="2">
        <v>0.041832</v>
      </c>
      <c r="D6">
        <f>0.07*166</f>
        <v>11.620000000000001</v>
      </c>
      <c r="E6" s="2">
        <v>0.42829025943501275</v>
      </c>
    </row>
    <row r="7" spans="3:5" ht="15">
      <c r="C7" s="2">
        <v>0.013744800000000001</v>
      </c>
      <c r="D7">
        <f>0.23*16.6</f>
        <v>3.8180000000000005</v>
      </c>
      <c r="E7" s="2">
        <v>0.23410782459815768</v>
      </c>
    </row>
    <row r="9" spans="2:4" ht="15">
      <c r="B9" t="s">
        <v>41</v>
      </c>
      <c r="C9" s="2">
        <v>0.2144</v>
      </c>
      <c r="D9">
        <v>59.56521739130435</v>
      </c>
    </row>
    <row r="11" spans="3:4" ht="15">
      <c r="C11">
        <f>(2.93+0.3599)/15.332</f>
        <v>0.2145773545525698</v>
      </c>
      <c r="D11">
        <f>(2.93+0.3599)/0.0552</f>
        <v>59.59963768115943</v>
      </c>
    </row>
    <row r="13" spans="2:4" ht="15">
      <c r="B13" s="2" t="s">
        <v>38</v>
      </c>
      <c r="C13" s="2" t="s">
        <v>39</v>
      </c>
      <c r="D13" s="2" t="s">
        <v>40</v>
      </c>
    </row>
    <row r="14" spans="2:4" ht="15">
      <c r="B14" s="2">
        <v>0.09561599999999999</v>
      </c>
      <c r="C14">
        <v>26.56</v>
      </c>
      <c r="D14" s="2">
        <v>1.1540439715893658</v>
      </c>
    </row>
    <row r="15" spans="2:4" ht="15">
      <c r="B15" s="2">
        <v>0.035856</v>
      </c>
      <c r="C15">
        <f>0.06*166</f>
        <v>9.959999999999999</v>
      </c>
      <c r="D15" s="2">
        <v>0.1979810424220219</v>
      </c>
    </row>
    <row r="16" spans="2:4" ht="15">
      <c r="B16" s="2">
        <v>0.041832</v>
      </c>
      <c r="C16">
        <f>0.07*166</f>
        <v>11.620000000000001</v>
      </c>
      <c r="D16" s="2">
        <v>0.13515731350421428</v>
      </c>
    </row>
    <row r="17" spans="2:4" ht="15">
      <c r="B17" s="2">
        <v>0.013744800000000001</v>
      </c>
      <c r="C17">
        <f>0.23*16.6</f>
        <v>3.8180000000000005</v>
      </c>
      <c r="D17" s="2">
        <v>-0.059025121332640866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4:H10"/>
  <sheetViews>
    <sheetView zoomScalePageLayoutView="0" workbookViewId="0" topLeftCell="A1">
      <selection activeCell="H10" sqref="H10"/>
    </sheetView>
  </sheetViews>
  <sheetFormatPr defaultColWidth="9.140625" defaultRowHeight="15"/>
  <sheetData>
    <row r="4" spans="5:7" ht="15">
      <c r="E4" t="s">
        <v>42</v>
      </c>
      <c r="F4" t="s">
        <v>43</v>
      </c>
      <c r="G4" t="s">
        <v>44</v>
      </c>
    </row>
    <row r="5" spans="5:8" ht="15">
      <c r="E5">
        <v>1</v>
      </c>
      <c r="F5">
        <v>1</v>
      </c>
      <c r="G5">
        <v>1</v>
      </c>
      <c r="H5">
        <v>1</v>
      </c>
    </row>
    <row r="6" spans="5:8" ht="15">
      <c r="E6">
        <v>2</v>
      </c>
      <c r="F6">
        <v>2</v>
      </c>
      <c r="G6">
        <v>1.2</v>
      </c>
      <c r="H6">
        <v>10</v>
      </c>
    </row>
    <row r="7" spans="5:8" ht="15">
      <c r="E7">
        <v>3</v>
      </c>
      <c r="F7">
        <v>3</v>
      </c>
      <c r="G7">
        <v>1.5</v>
      </c>
      <c r="H7">
        <v>15</v>
      </c>
    </row>
    <row r="8" spans="5:8" ht="15">
      <c r="E8">
        <v>4</v>
      </c>
      <c r="F8">
        <v>4</v>
      </c>
      <c r="G8">
        <v>1.7</v>
      </c>
      <c r="H8">
        <v>20</v>
      </c>
    </row>
    <row r="9" spans="5:8" ht="15">
      <c r="E9">
        <v>5</v>
      </c>
      <c r="F9">
        <v>5</v>
      </c>
      <c r="G9">
        <v>1.9</v>
      </c>
      <c r="H9">
        <v>25</v>
      </c>
    </row>
    <row r="10" spans="5:8" ht="15">
      <c r="E10" t="s">
        <v>45</v>
      </c>
      <c r="F10">
        <f>SLOPE(F5:F9,E5:E9)</f>
        <v>1</v>
      </c>
      <c r="G10">
        <f>SLOPE(G5:G9,E5:E9)</f>
        <v>0.22999999999999998</v>
      </c>
      <c r="H10">
        <f>SLOPE(H5:H9,F5:F9)</f>
        <v>5.8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2008-04-22T20:46:12Z</cp:lastPrinted>
  <dcterms:created xsi:type="dcterms:W3CDTF">2008-04-17T16:15:38Z</dcterms:created>
  <dcterms:modified xsi:type="dcterms:W3CDTF">2008-04-23T16:20:44Z</dcterms:modified>
  <cp:category/>
  <cp:version/>
  <cp:contentType/>
  <cp:contentStatus/>
</cp:coreProperties>
</file>